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\Documents\VCSD from Toshiba 10 05 17\Water 2011\"/>
    </mc:Choice>
  </mc:AlternateContent>
  <xr:revisionPtr revIDLastSave="0" documentId="13_ncr:1_{0C18FA1D-D0A6-4EA0-BAC8-74853A1DD450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B56" i="1"/>
  <c r="D36" i="1" l="1"/>
  <c r="D29" i="1"/>
  <c r="D18" i="1"/>
  <c r="D42" i="1" s="1"/>
  <c r="D44" i="1" s="1"/>
  <c r="B36" i="1"/>
  <c r="B29" i="1"/>
  <c r="D43" i="1"/>
  <c r="H39" i="3"/>
  <c r="F39" i="3"/>
  <c r="D39" i="3"/>
  <c r="C39" i="3"/>
  <c r="E39" i="3" s="1"/>
  <c r="T5" i="3"/>
  <c r="T8" i="3" s="1"/>
  <c r="T9" i="3" s="1"/>
  <c r="Q28" i="3"/>
  <c r="Q31" i="3"/>
  <c r="R6" i="3"/>
  <c r="R10" i="3"/>
  <c r="L21" i="3"/>
  <c r="L22" i="3"/>
  <c r="L24" i="3" s="1"/>
  <c r="L23" i="3"/>
  <c r="J22" i="3"/>
  <c r="J24" i="3"/>
  <c r="P9" i="3"/>
  <c r="N11" i="3"/>
  <c r="N12" i="3"/>
  <c r="N15" i="3"/>
  <c r="N18" i="3" s="1"/>
  <c r="L10" i="3"/>
  <c r="F14" i="3"/>
  <c r="E14" i="3"/>
  <c r="E15" i="3" s="1"/>
  <c r="E19" i="3" s="1"/>
  <c r="G17" i="3" s="1"/>
  <c r="G20" i="3" s="1"/>
  <c r="G18" i="3"/>
  <c r="E16" i="3"/>
  <c r="J23" i="3"/>
  <c r="D39" i="1" l="1"/>
  <c r="B39" i="1"/>
  <c r="G25" i="3"/>
  <c r="I17" i="3"/>
  <c r="I19" i="3" s="1"/>
  <c r="J19" i="3" s="1"/>
  <c r="N17" i="3"/>
  <c r="O18" i="3" s="1"/>
</calcChain>
</file>

<file path=xl/sharedStrings.xml><?xml version="1.0" encoding="utf-8"?>
<sst xmlns="http://schemas.openxmlformats.org/spreadsheetml/2006/main" count="68" uniqueCount="58">
  <si>
    <t>Reported:</t>
  </si>
  <si>
    <t>Treasurer Report</t>
  </si>
  <si>
    <t>Treasurer: Sharon Owens</t>
  </si>
  <si>
    <t>Balance in Petty Cash</t>
  </si>
  <si>
    <t>Balance in Checking</t>
  </si>
  <si>
    <t>Balance in CD#4</t>
  </si>
  <si>
    <t>Balance in CD#5</t>
  </si>
  <si>
    <t xml:space="preserve">     Total Checking &amp; Savings</t>
  </si>
  <si>
    <t>Income:</t>
  </si>
  <si>
    <t xml:space="preserve">     Water:</t>
  </si>
  <si>
    <t xml:space="preserve">     Hall rental fees</t>
  </si>
  <si>
    <t xml:space="preserve">     Park rental fees</t>
  </si>
  <si>
    <t xml:space="preserve">     Restroom Donations</t>
  </si>
  <si>
    <t xml:space="preserve">     Park Donations</t>
  </si>
  <si>
    <t xml:space="preserve">     Interest</t>
  </si>
  <si>
    <t xml:space="preserve">     Auditor's Warrants</t>
  </si>
  <si>
    <t xml:space="preserve">     Other:</t>
  </si>
  <si>
    <t xml:space="preserve">                  Total Income</t>
  </si>
  <si>
    <t>Expenses:</t>
  </si>
  <si>
    <t xml:space="preserve">     Administrative:</t>
  </si>
  <si>
    <t xml:space="preserve">     Utility Operation &amp; Maint.</t>
  </si>
  <si>
    <t xml:space="preserve">     Utilities:</t>
  </si>
  <si>
    <t xml:space="preserve">                  Total Expenses</t>
  </si>
  <si>
    <t xml:space="preserve">                 Net Income (Loss)</t>
  </si>
  <si>
    <t>Volcano Community Services District</t>
  </si>
  <si>
    <t>P.O. Box 72</t>
  </si>
  <si>
    <t>Volcano, CA 95689                                volcanowater@mail.com</t>
  </si>
  <si>
    <t>other</t>
  </si>
  <si>
    <t>Quickbooks YTD Income/Loss</t>
  </si>
  <si>
    <t>Cash on Hand</t>
  </si>
  <si>
    <t>Cash Variance</t>
  </si>
  <si>
    <t>Cash Beg of Fiscal Year</t>
  </si>
  <si>
    <t>Restroom Report</t>
  </si>
  <si>
    <t xml:space="preserve">   Expenses</t>
  </si>
  <si>
    <t>Income (Loss)</t>
  </si>
  <si>
    <t xml:space="preserve">             PG&amp;E</t>
  </si>
  <si>
    <t xml:space="preserve">             Cleaning</t>
  </si>
  <si>
    <t xml:space="preserve">             Supplies</t>
  </si>
  <si>
    <t xml:space="preserve">             Maintenance</t>
  </si>
  <si>
    <t xml:space="preserve">   Income - Donation Box</t>
  </si>
  <si>
    <t xml:space="preserve">                  Local Business Donations</t>
  </si>
  <si>
    <t>nv e</t>
  </si>
  <si>
    <t>rent</t>
  </si>
  <si>
    <t>water</t>
  </si>
  <si>
    <t>sax</t>
  </si>
  <si>
    <t>tv</t>
  </si>
  <si>
    <t>cell</t>
  </si>
  <si>
    <t>car</t>
  </si>
  <si>
    <t>ins</t>
  </si>
  <si>
    <t>charter</t>
  </si>
  <si>
    <t>Balance in CD#29</t>
  </si>
  <si>
    <t>Balance in CD#31</t>
  </si>
  <si>
    <t>Year to Date 07/01/2018-06/30/2019</t>
  </si>
  <si>
    <t>Last Fiscal Year 2017-2018</t>
  </si>
  <si>
    <t>April &amp; May 2019</t>
  </si>
  <si>
    <t>April</t>
  </si>
  <si>
    <t>May</t>
  </si>
  <si>
    <t xml:space="preserve">Reduction do to the work on the wells.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</si>
</sst>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4"/>
      <color indexed="12"/>
      <name val="BakerSignet"/>
    </font>
    <font>
      <sz val="14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43" fontId="1" fillId="0" borderId="0" xfId="1"/>
    <xf numFmtId="43" fontId="3" fillId="0" borderId="0" xfId="1" applyFont="1"/>
    <xf numFmtId="0" fontId="4" fillId="0" borderId="0" xfId="0" applyFont="1"/>
    <xf numFmtId="43" fontId="4" fillId="0" borderId="0" xfId="1" applyFont="1"/>
    <xf numFmtId="44" fontId="4" fillId="0" borderId="0" xfId="2" applyFont="1"/>
    <xf numFmtId="0" fontId="6" fillId="0" borderId="0" xfId="0" applyFont="1"/>
    <xf numFmtId="43" fontId="7" fillId="0" borderId="0" xfId="1" applyFont="1"/>
    <xf numFmtId="44" fontId="6" fillId="0" borderId="1" xfId="2" applyFont="1" applyBorder="1"/>
    <xf numFmtId="0" fontId="8" fillId="0" borderId="0" xfId="0" applyFont="1"/>
    <xf numFmtId="44" fontId="6" fillId="0" borderId="2" xfId="2" applyFont="1" applyBorder="1"/>
    <xf numFmtId="0" fontId="9" fillId="0" borderId="0" xfId="0" applyFont="1" applyAlignment="1">
      <alignment horizontal="left" indent="6"/>
    </xf>
    <xf numFmtId="0" fontId="10" fillId="0" borderId="0" xfId="0" applyFont="1" applyAlignment="1">
      <alignment horizontal="left" indent="6"/>
    </xf>
    <xf numFmtId="43" fontId="5" fillId="0" borderId="0" xfId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right"/>
    </xf>
    <xf numFmtId="43" fontId="17" fillId="0" borderId="0" xfId="1" applyFont="1"/>
    <xf numFmtId="4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/>
    </xf>
    <xf numFmtId="43" fontId="0" fillId="0" borderId="0" xfId="1" applyFont="1"/>
    <xf numFmtId="43" fontId="14" fillId="0" borderId="0" xfId="1" applyFont="1" applyAlignment="1">
      <alignment vertical="center"/>
    </xf>
    <xf numFmtId="43" fontId="0" fillId="0" borderId="1" xfId="1" applyFont="1" applyBorder="1"/>
    <xf numFmtId="43" fontId="20" fillId="0" borderId="3" xfId="1" applyFont="1" applyBorder="1"/>
    <xf numFmtId="43" fontId="0" fillId="0" borderId="4" xfId="1" applyFont="1" applyBorder="1"/>
    <xf numFmtId="43" fontId="15" fillId="0" borderId="4" xfId="1" applyFont="1" applyBorder="1" applyAlignment="1">
      <alignment vertical="center"/>
    </xf>
    <xf numFmtId="43" fontId="0" fillId="0" borderId="6" xfId="1" applyFont="1" applyBorder="1"/>
    <xf numFmtId="43" fontId="13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left" vertical="center" indent="4"/>
    </xf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16" fillId="0" borderId="9" xfId="1" applyFont="1" applyBorder="1" applyAlignment="1">
      <alignment horizontal="left" vertical="center" indent="4"/>
    </xf>
    <xf numFmtId="43" fontId="1" fillId="0" borderId="6" xfId="1" applyBorder="1"/>
    <xf numFmtId="43" fontId="15" fillId="0" borderId="5" xfId="1" applyFont="1" applyBorder="1" applyAlignment="1">
      <alignment vertical="center"/>
    </xf>
    <xf numFmtId="43" fontId="13" fillId="0" borderId="7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8" fillId="0" borderId="7" xfId="1" applyFont="1" applyBorder="1" applyAlignment="1">
      <alignment horizontal="left" vertical="center" indent="4"/>
    </xf>
    <xf numFmtId="16" fontId="0" fillId="0" borderId="0" xfId="0" applyNumberFormat="1"/>
    <xf numFmtId="8" fontId="0" fillId="0" borderId="0" xfId="0" applyNumberFormat="1"/>
    <xf numFmtId="44" fontId="6" fillId="2" borderId="1" xfId="2" applyFont="1" applyFill="1" applyBorder="1"/>
    <xf numFmtId="43" fontId="13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19" fillId="0" borderId="0" xfId="1" applyFont="1" applyAlignment="1">
      <alignment horizontal="right"/>
    </xf>
    <xf numFmtId="43" fontId="20" fillId="0" borderId="3" xfId="1" applyFont="1" applyBorder="1" applyAlignment="1">
      <alignment horizontal="right"/>
    </xf>
    <xf numFmtId="43" fontId="1" fillId="0" borderId="6" xfId="1" applyBorder="1" applyAlignment="1">
      <alignment horizontal="right"/>
    </xf>
    <xf numFmtId="43" fontId="0" fillId="0" borderId="6" xfId="1" applyFont="1" applyBorder="1" applyAlignment="1">
      <alignment horizontal="right"/>
    </xf>
    <xf numFmtId="43" fontId="16" fillId="0" borderId="0" xfId="1" applyFont="1" applyAlignment="1">
      <alignment horizontal="right" vertical="center"/>
    </xf>
    <xf numFmtId="43" fontId="0" fillId="0" borderId="0" xfId="1" applyFont="1" applyBorder="1"/>
    <xf numFmtId="43" fontId="16" fillId="0" borderId="11" xfId="1" applyFont="1" applyBorder="1" applyAlignment="1">
      <alignment horizontal="right" vertical="center"/>
    </xf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right" vertical="top"/>
    </xf>
    <xf numFmtId="43" fontId="13" fillId="0" borderId="0" xfId="0" applyNumberFormat="1" applyFont="1" applyAlignment="1">
      <alignment horizontal="righ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714375</xdr:colOff>
      <xdr:row>4</xdr:row>
      <xdr:rowOff>180975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14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29</xdr:row>
      <xdr:rowOff>95250</xdr:rowOff>
    </xdr:from>
    <xdr:to>
      <xdr:col>1</xdr:col>
      <xdr:colOff>685800</xdr:colOff>
      <xdr:row>32</xdr:row>
      <xdr:rowOff>152400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425FFC7D-280D-4225-8CD8-69270698D27D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3</xdr:col>
      <xdr:colOff>685800</xdr:colOff>
      <xdr:row>32</xdr:row>
      <xdr:rowOff>152400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C623C23B-6AAB-4FAA-BCB4-FE70E5FB3E5B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3</xdr:row>
      <xdr:rowOff>77787</xdr:rowOff>
    </xdr:to>
    <xdr:pic>
      <xdr:nvPicPr>
        <xdr:cNvPr id="6" name="Picture 5" descr="water">
          <a:extLst>
            <a:ext uri="{FF2B5EF4-FFF2-40B4-BE49-F238E27FC236}">
              <a16:creationId xmlns:a16="http://schemas.microsoft.com/office/drawing/2014/main" id="{05DAE61B-4D2A-4B15-B0B8-EE53637C5D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34" zoomScale="80" zoomScaleNormal="80" workbookViewId="0">
      <selection activeCell="G45" sqref="G45"/>
    </sheetView>
  </sheetViews>
  <sheetFormatPr defaultRowHeight="12.5"/>
  <cols>
    <col min="1" max="1" width="38" customWidth="1"/>
    <col min="2" max="2" width="26.54296875" customWidth="1"/>
    <col min="3" max="3" width="7.36328125" customWidth="1"/>
    <col min="4" max="4" width="28.81640625" customWidth="1"/>
    <col min="5" max="5" width="16.54296875" bestFit="1" customWidth="1"/>
    <col min="6" max="6" width="3" customWidth="1"/>
    <col min="7" max="7" width="21.81640625" bestFit="1" customWidth="1"/>
  </cols>
  <sheetData>
    <row r="1" spans="1:6" ht="18">
      <c r="A1" s="14" t="s">
        <v>24</v>
      </c>
    </row>
    <row r="2" spans="1:6" ht="17.5">
      <c r="A2" s="15" t="s">
        <v>25</v>
      </c>
    </row>
    <row r="3" spans="1:6" ht="17.5">
      <c r="A3" s="15" t="s">
        <v>26</v>
      </c>
    </row>
    <row r="4" spans="1:6" ht="17.5">
      <c r="A4" s="15"/>
    </row>
    <row r="5" spans="1:6" ht="20">
      <c r="A5" s="50" t="s">
        <v>1</v>
      </c>
      <c r="B5" s="50"/>
      <c r="C5" s="50"/>
      <c r="D5" s="50"/>
      <c r="E5" s="50"/>
      <c r="F5" s="50"/>
    </row>
    <row r="6" spans="1:6" ht="20">
      <c r="A6" s="49"/>
      <c r="B6" s="1"/>
      <c r="C6" s="1"/>
      <c r="D6" s="1"/>
      <c r="E6" s="1"/>
      <c r="F6" s="1"/>
    </row>
    <row r="7" spans="1:6" ht="20">
      <c r="A7" s="50" t="s">
        <v>54</v>
      </c>
      <c r="B7" s="50"/>
      <c r="C7" s="50"/>
      <c r="D7" s="50"/>
      <c r="E7" s="50"/>
      <c r="F7" s="50"/>
    </row>
    <row r="9" spans="1:6" ht="18">
      <c r="A9" s="2" t="s">
        <v>0</v>
      </c>
      <c r="B9" s="3">
        <v>43622</v>
      </c>
      <c r="C9" s="4"/>
      <c r="D9" s="5" t="s">
        <v>2</v>
      </c>
      <c r="E9" s="4"/>
    </row>
    <row r="11" spans="1:6" ht="15.5">
      <c r="A11" s="6"/>
      <c r="B11" s="16" t="s">
        <v>55</v>
      </c>
      <c r="D11" s="16" t="s">
        <v>56</v>
      </c>
    </row>
    <row r="12" spans="1:6" ht="15.5">
      <c r="A12" s="51" t="s">
        <v>3</v>
      </c>
      <c r="B12" s="7"/>
      <c r="D12" s="7">
        <v>70</v>
      </c>
    </row>
    <row r="13" spans="1:6" ht="15.5">
      <c r="A13" s="51" t="s">
        <v>4</v>
      </c>
      <c r="B13" s="7"/>
      <c r="D13" s="7">
        <v>25483.13</v>
      </c>
    </row>
    <row r="14" spans="1:6" ht="15.5">
      <c r="A14" s="51" t="s">
        <v>50</v>
      </c>
      <c r="B14" s="7"/>
      <c r="D14" s="7">
        <v>5685.54</v>
      </c>
    </row>
    <row r="15" spans="1:6" ht="15.5">
      <c r="A15" s="51" t="s">
        <v>51</v>
      </c>
      <c r="B15" s="7"/>
      <c r="D15" s="7">
        <v>27312.84</v>
      </c>
    </row>
    <row r="16" spans="1:6" ht="15.5">
      <c r="A16" s="51" t="s">
        <v>5</v>
      </c>
      <c r="B16" s="7"/>
      <c r="D16" s="7">
        <v>24733.54</v>
      </c>
    </row>
    <row r="17" spans="1:4" ht="15.5">
      <c r="A17" s="51" t="s">
        <v>6</v>
      </c>
      <c r="B17" s="7"/>
      <c r="D17" s="7">
        <v>11573.97</v>
      </c>
    </row>
    <row r="18" spans="1:4" ht="16" thickBot="1">
      <c r="A18" s="9" t="s">
        <v>7</v>
      </c>
      <c r="B18" s="11"/>
      <c r="D18" s="11">
        <f>SUM(D12:D17)</f>
        <v>94859.02</v>
      </c>
    </row>
    <row r="19" spans="1:4" ht="16" thickTop="1">
      <c r="A19" s="6"/>
      <c r="B19" s="7"/>
      <c r="D19" s="7"/>
    </row>
    <row r="20" spans="1:4" ht="15.5">
      <c r="A20" s="12" t="s">
        <v>8</v>
      </c>
      <c r="B20" s="7"/>
      <c r="D20" s="7"/>
    </row>
    <row r="21" spans="1:4" ht="15.5">
      <c r="A21" s="6" t="s">
        <v>9</v>
      </c>
      <c r="B21" s="8">
        <v>3688.01</v>
      </c>
      <c r="D21" s="8">
        <v>4296.29</v>
      </c>
    </row>
    <row r="22" spans="1:4" ht="15.5">
      <c r="A22" s="6" t="s">
        <v>10</v>
      </c>
      <c r="B22" s="7"/>
      <c r="D22" s="7"/>
    </row>
    <row r="23" spans="1:4" ht="15.5">
      <c r="A23" s="6" t="s">
        <v>11</v>
      </c>
      <c r="B23" s="7"/>
      <c r="D23" s="7"/>
    </row>
    <row r="24" spans="1:4" ht="15.5">
      <c r="A24" s="6" t="s">
        <v>12</v>
      </c>
      <c r="B24" s="7">
        <v>135.44999999999999</v>
      </c>
      <c r="D24" s="7"/>
    </row>
    <row r="25" spans="1:4" ht="15.5">
      <c r="A25" s="6" t="s">
        <v>13</v>
      </c>
      <c r="B25" s="7"/>
      <c r="D25" s="7"/>
    </row>
    <row r="26" spans="1:4" ht="15.5">
      <c r="A26" s="6" t="s">
        <v>14</v>
      </c>
      <c r="B26" s="7">
        <v>0.56999999999999995</v>
      </c>
      <c r="D26" s="7"/>
    </row>
    <row r="27" spans="1:4" ht="15.5">
      <c r="A27" s="6" t="s">
        <v>15</v>
      </c>
      <c r="B27" s="7">
        <v>6695.12</v>
      </c>
      <c r="D27" s="7"/>
    </row>
    <row r="28" spans="1:4" ht="15.5">
      <c r="A28" s="6" t="s">
        <v>16</v>
      </c>
      <c r="B28" s="7"/>
      <c r="D28" s="7"/>
    </row>
    <row r="29" spans="1:4" ht="16" thickBot="1">
      <c r="A29" s="9" t="s">
        <v>17</v>
      </c>
      <c r="B29" s="11">
        <f>SUM(B21:B28)</f>
        <v>10519.15</v>
      </c>
      <c r="D29" s="11">
        <f>SUM(D21:D28)</f>
        <v>4296.29</v>
      </c>
    </row>
    <row r="30" spans="1:4" ht="16" thickTop="1">
      <c r="A30" s="6"/>
    </row>
    <row r="31" spans="1:4" ht="15.5">
      <c r="A31" s="12" t="s">
        <v>18</v>
      </c>
    </row>
    <row r="32" spans="1:4" ht="15.5">
      <c r="A32" s="6" t="s">
        <v>19</v>
      </c>
      <c r="B32" s="8">
        <v>1197.0899999999999</v>
      </c>
      <c r="D32" s="8">
        <v>1541.04</v>
      </c>
    </row>
    <row r="33" spans="1:10" ht="15.5">
      <c r="A33" s="6" t="s">
        <v>20</v>
      </c>
      <c r="B33" s="7">
        <v>1375</v>
      </c>
      <c r="D33" s="7">
        <v>2833.57</v>
      </c>
    </row>
    <row r="34" spans="1:10" ht="15.5">
      <c r="A34" s="6" t="s">
        <v>21</v>
      </c>
      <c r="B34" s="7">
        <v>758.13</v>
      </c>
      <c r="D34" s="7">
        <v>533.02</v>
      </c>
    </row>
    <row r="35" spans="1:10" ht="15.5">
      <c r="A35" s="6" t="s">
        <v>27</v>
      </c>
      <c r="B35" s="7"/>
      <c r="D35" s="7"/>
    </row>
    <row r="36" spans="1:10" ht="16" thickBot="1">
      <c r="A36" s="9" t="s">
        <v>22</v>
      </c>
      <c r="B36" s="47">
        <f>SUM(B32:B35)</f>
        <v>3330.2200000000003</v>
      </c>
      <c r="D36" s="47">
        <f>SUM(D32:D35)</f>
        <v>4907.630000000001</v>
      </c>
    </row>
    <row r="37" spans="1:10" ht="16" thickTop="1">
      <c r="A37" s="6"/>
      <c r="B37" s="7"/>
      <c r="D37" s="7"/>
    </row>
    <row r="38" spans="1:10" ht="15.5">
      <c r="A38" s="6"/>
      <c r="B38" s="10"/>
      <c r="D38" s="10"/>
    </row>
    <row r="39" spans="1:10" ht="16" thickBot="1">
      <c r="A39" s="9" t="s">
        <v>23</v>
      </c>
      <c r="B39" s="13">
        <f>B29-B36</f>
        <v>7188.9299999999994</v>
      </c>
      <c r="D39" s="13">
        <f>D29-D36</f>
        <v>-611.34000000000106</v>
      </c>
    </row>
    <row r="40" spans="1:10" ht="15.5">
      <c r="C40" s="18"/>
    </row>
    <row r="41" spans="1:10" ht="15.5">
      <c r="A41" s="20"/>
      <c r="B41" s="53"/>
      <c r="C41" s="21" t="s">
        <v>28</v>
      </c>
      <c r="D41" s="24">
        <v>9624.2800000000007</v>
      </c>
      <c r="J41" s="19"/>
    </row>
    <row r="42" spans="1:10" ht="15.5">
      <c r="A42" s="20"/>
      <c r="B42" s="53"/>
      <c r="C42" s="21" t="s">
        <v>29</v>
      </c>
      <c r="D42" s="22">
        <f>D18</f>
        <v>94859.02</v>
      </c>
      <c r="H42" s="17"/>
    </row>
    <row r="43" spans="1:10" ht="14.5">
      <c r="A43" s="52"/>
      <c r="B43" s="53"/>
      <c r="C43" s="25" t="s">
        <v>31</v>
      </c>
      <c r="D43" s="23">
        <f>118146.38</f>
        <v>118146.38</v>
      </c>
    </row>
    <row r="44" spans="1:10" ht="25.5">
      <c r="A44" s="52"/>
      <c r="B44" s="63"/>
      <c r="C44" s="64" t="s">
        <v>30</v>
      </c>
      <c r="D44" s="65">
        <f>D42-D43</f>
        <v>-23287.360000000001</v>
      </c>
      <c r="E44" s="62" t="s">
        <v>57</v>
      </c>
    </row>
    <row r="45" spans="1:10" ht="14">
      <c r="A45" s="53"/>
      <c r="C45" s="48"/>
    </row>
    <row r="46" spans="1:10" ht="20.5" thickBot="1">
      <c r="A46" s="54" t="s">
        <v>32</v>
      </c>
      <c r="B46" s="26"/>
      <c r="C46" s="27"/>
      <c r="D46" s="26"/>
    </row>
    <row r="47" spans="1:10" ht="14">
      <c r="A47" s="55" t="s">
        <v>52</v>
      </c>
      <c r="B47" s="30"/>
      <c r="C47" s="31"/>
      <c r="D47" s="29" t="s">
        <v>53</v>
      </c>
      <c r="E47" s="30"/>
      <c r="F47" s="41"/>
      <c r="H47" s="26"/>
    </row>
    <row r="48" spans="1:10" ht="14">
      <c r="A48" s="56" t="s">
        <v>39</v>
      </c>
      <c r="B48" s="26">
        <v>449.92</v>
      </c>
      <c r="C48" s="33"/>
      <c r="D48" s="40" t="s">
        <v>39</v>
      </c>
      <c r="E48" s="59">
        <v>610.33000000000004</v>
      </c>
      <c r="F48" s="42"/>
      <c r="H48" s="26"/>
    </row>
    <row r="49" spans="1:8" ht="15.5">
      <c r="A49" s="56" t="s">
        <v>40</v>
      </c>
      <c r="B49" s="26"/>
      <c r="C49" s="34"/>
      <c r="D49" s="40" t="s">
        <v>40</v>
      </c>
      <c r="E49" s="59"/>
      <c r="F49" s="43"/>
      <c r="H49" s="26"/>
    </row>
    <row r="50" spans="1:8" ht="15.5">
      <c r="A50" s="57" t="s">
        <v>33</v>
      </c>
      <c r="B50" s="26"/>
      <c r="C50" s="35"/>
      <c r="D50" s="32" t="s">
        <v>33</v>
      </c>
      <c r="E50" s="59"/>
      <c r="F50" s="44"/>
      <c r="H50" s="26"/>
    </row>
    <row r="51" spans="1:8" ht="15.5">
      <c r="A51" s="57" t="s">
        <v>35</v>
      </c>
      <c r="B51" s="26">
        <v>-156.66</v>
      </c>
      <c r="C51" s="35"/>
      <c r="D51" s="32" t="s">
        <v>35</v>
      </c>
      <c r="E51" s="59">
        <v>-144.72999999999999</v>
      </c>
      <c r="F51" s="44"/>
      <c r="H51" s="26"/>
    </row>
    <row r="52" spans="1:8" ht="15.5">
      <c r="A52" s="57" t="s">
        <v>36</v>
      </c>
      <c r="B52" s="26">
        <v>-795</v>
      </c>
      <c r="C52" s="35"/>
      <c r="D52" s="32" t="s">
        <v>36</v>
      </c>
      <c r="E52" s="59">
        <v>-780</v>
      </c>
      <c r="F52" s="44"/>
      <c r="H52" s="26"/>
    </row>
    <row r="53" spans="1:8" ht="15.5">
      <c r="A53" s="57" t="s">
        <v>37</v>
      </c>
      <c r="B53" s="26"/>
      <c r="C53" s="35"/>
      <c r="D53" s="32" t="s">
        <v>37</v>
      </c>
      <c r="E53" s="59">
        <v>-121.67</v>
      </c>
      <c r="F53" s="44"/>
      <c r="H53" s="26"/>
    </row>
    <row r="54" spans="1:8" ht="15.5">
      <c r="A54" s="57" t="s">
        <v>38</v>
      </c>
      <c r="B54" s="26">
        <v>-737.48</v>
      </c>
      <c r="C54" s="35"/>
      <c r="D54" s="32" t="s">
        <v>38</v>
      </c>
      <c r="E54" s="59">
        <v>-672.13</v>
      </c>
      <c r="F54" s="44"/>
      <c r="H54" s="26"/>
    </row>
    <row r="55" spans="1:8" ht="15.5">
      <c r="A55" s="57"/>
      <c r="B55" s="26"/>
      <c r="C55" s="35"/>
      <c r="D55" s="32"/>
      <c r="E55" s="59"/>
      <c r="F55" s="44"/>
      <c r="H55" s="26"/>
    </row>
    <row r="56" spans="1:8" ht="13.5" thickBot="1">
      <c r="A56" s="58" t="s">
        <v>34</v>
      </c>
      <c r="B56" s="28">
        <f>SUM(B48:B55)</f>
        <v>-1239.22</v>
      </c>
      <c r="D56" s="60" t="s">
        <v>34</v>
      </c>
      <c r="E56" s="59">
        <f>SUM(E48:E55)</f>
        <v>-1108.2</v>
      </c>
      <c r="F56" s="61"/>
      <c r="H56" s="26"/>
    </row>
    <row r="57" spans="1:8" ht="14" thickTop="1" thickBot="1">
      <c r="A57" s="36"/>
      <c r="B57" s="37"/>
      <c r="C57" s="39"/>
      <c r="D57" s="36"/>
      <c r="E57" s="37"/>
      <c r="F57" s="38"/>
      <c r="H57" s="26"/>
    </row>
    <row r="69" spans="1:4">
      <c r="A69" s="26"/>
      <c r="B69" s="26"/>
      <c r="C69" s="26"/>
      <c r="D69" s="26"/>
    </row>
    <row r="70" spans="1:4">
      <c r="A70" s="26"/>
      <c r="B70" s="26"/>
      <c r="C70" s="26"/>
      <c r="D70" s="26"/>
    </row>
    <row r="71" spans="1:4">
      <c r="A71" s="26"/>
      <c r="B71" s="26"/>
      <c r="C71" s="26"/>
      <c r="D71" s="26"/>
    </row>
    <row r="72" spans="1:4">
      <c r="A72" s="26"/>
      <c r="B72" s="26"/>
      <c r="C72" s="26"/>
      <c r="D72" s="26"/>
    </row>
    <row r="73" spans="1:4">
      <c r="A73" s="26"/>
      <c r="B73" s="26"/>
      <c r="C73" s="26"/>
      <c r="D73" s="26"/>
    </row>
    <row r="74" spans="1:4">
      <c r="A74" s="26"/>
      <c r="B74" s="26"/>
      <c r="C74" s="26"/>
      <c r="D74" s="26"/>
    </row>
    <row r="75" spans="1:4">
      <c r="A75" s="26"/>
      <c r="B75" s="26"/>
      <c r="C75" s="26"/>
      <c r="D75" s="26"/>
    </row>
    <row r="76" spans="1:4">
      <c r="A76" s="26"/>
      <c r="B76" s="26"/>
      <c r="C76" s="26"/>
      <c r="D76" s="26"/>
    </row>
    <row r="77" spans="1:4">
      <c r="A77" s="26"/>
      <c r="B77" s="26"/>
      <c r="C77" s="26"/>
      <c r="D77" s="26"/>
    </row>
    <row r="78" spans="1:4">
      <c r="A78" s="26"/>
      <c r="B78" s="26"/>
      <c r="C78" s="26"/>
      <c r="D78" s="26"/>
    </row>
    <row r="79" spans="1:4">
      <c r="A79" s="26"/>
      <c r="B79" s="26"/>
      <c r="C79" s="26"/>
      <c r="D79" s="26"/>
    </row>
    <row r="80" spans="1:4">
      <c r="A80" s="26"/>
      <c r="B80" s="26"/>
      <c r="C80" s="26"/>
      <c r="D80" s="26"/>
    </row>
  </sheetData>
  <mergeCells count="2">
    <mergeCell ref="A7:F7"/>
    <mergeCell ref="A5:F5"/>
  </mergeCells>
  <phoneticPr fontId="11" type="noConversion"/>
  <pageMargins left="0.75" right="0.75" top="1" bottom="1" header="0.5" footer="0.5"/>
  <pageSetup scale="72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topLeftCell="A11" workbookViewId="0">
      <selection activeCell="I37" sqref="I37"/>
    </sheetView>
  </sheetViews>
  <sheetFormatPr defaultRowHeight="12.5"/>
  <cols>
    <col min="7" max="7" width="12" bestFit="1" customWidth="1"/>
  </cols>
  <sheetData>
    <row r="1" spans="1:20">
      <c r="A1" s="45">
        <v>42728</v>
      </c>
      <c r="B1">
        <v>4.97</v>
      </c>
      <c r="R1">
        <v>850</v>
      </c>
    </row>
    <row r="2" spans="1:20">
      <c r="B2">
        <v>4.95</v>
      </c>
      <c r="R2">
        <v>25</v>
      </c>
    </row>
    <row r="3" spans="1:20">
      <c r="A3" s="45">
        <v>42377</v>
      </c>
      <c r="B3">
        <v>69.95</v>
      </c>
      <c r="R3">
        <v>75</v>
      </c>
    </row>
    <row r="4" spans="1:20">
      <c r="R4">
        <v>40</v>
      </c>
      <c r="T4">
        <v>820</v>
      </c>
    </row>
    <row r="5" spans="1:20">
      <c r="R5">
        <v>85</v>
      </c>
      <c r="T5">
        <f>16500/12</f>
        <v>1375</v>
      </c>
    </row>
    <row r="6" spans="1:20">
      <c r="R6">
        <f>231+140</f>
        <v>371</v>
      </c>
      <c r="T6">
        <v>700</v>
      </c>
    </row>
    <row r="7" spans="1:20">
      <c r="P7">
        <v>459</v>
      </c>
      <c r="R7">
        <v>333</v>
      </c>
      <c r="T7">
        <v>300</v>
      </c>
    </row>
    <row r="8" spans="1:20">
      <c r="P8">
        <v>180</v>
      </c>
      <c r="R8">
        <v>14</v>
      </c>
      <c r="T8">
        <f>SUM(T4:T7)</f>
        <v>3195</v>
      </c>
    </row>
    <row r="9" spans="1:20">
      <c r="L9">
        <v>400</v>
      </c>
      <c r="P9">
        <f>SUM(P7:P8)</f>
        <v>639</v>
      </c>
      <c r="R9">
        <v>200</v>
      </c>
      <c r="T9">
        <f>T8*0.35</f>
        <v>1118.25</v>
      </c>
    </row>
    <row r="10" spans="1:20">
      <c r="I10">
        <v>6000</v>
      </c>
      <c r="L10">
        <f>44000/12</f>
        <v>3666.6666666666665</v>
      </c>
      <c r="R10">
        <f>SUM(R1:R9)</f>
        <v>1993</v>
      </c>
    </row>
    <row r="11" spans="1:20">
      <c r="N11">
        <f>14000/12</f>
        <v>1166.6666666666667</v>
      </c>
    </row>
    <row r="12" spans="1:20">
      <c r="N12">
        <f>11.45*15*4.33</f>
        <v>743.67750000000001</v>
      </c>
    </row>
    <row r="13" spans="1:20">
      <c r="E13">
        <v>128000</v>
      </c>
      <c r="N13">
        <v>200</v>
      </c>
    </row>
    <row r="14" spans="1:20">
      <c r="E14">
        <f>E13*0.11</f>
        <v>14080</v>
      </c>
      <c r="F14">
        <f>E13*0.06</f>
        <v>7680</v>
      </c>
      <c r="N14">
        <v>400</v>
      </c>
    </row>
    <row r="15" spans="1:20">
      <c r="E15">
        <f>E13-E14</f>
        <v>113920</v>
      </c>
      <c r="I15">
        <v>500</v>
      </c>
      <c r="N15">
        <f>SUM(N11:N14)</f>
        <v>2510.3441666666668</v>
      </c>
    </row>
    <row r="16" spans="1:20">
      <c r="E16">
        <f>0.05/12</f>
        <v>4.1666666666666666E-3</v>
      </c>
      <c r="I16">
        <v>333</v>
      </c>
      <c r="Q16">
        <v>0</v>
      </c>
    </row>
    <row r="17" spans="3:19">
      <c r="E17">
        <v>360</v>
      </c>
      <c r="G17" s="46">
        <f>E19*-1</f>
        <v>611.54719293542882</v>
      </c>
      <c r="I17" s="46">
        <f>G20</f>
        <v>818.8805262687622</v>
      </c>
      <c r="N17">
        <f>N15*0.35</f>
        <v>878.62045833333332</v>
      </c>
      <c r="Q17">
        <v>150</v>
      </c>
      <c r="R17" t="s">
        <v>41</v>
      </c>
    </row>
    <row r="18" spans="3:19">
      <c r="G18">
        <f>H18/12</f>
        <v>47.333333333333336</v>
      </c>
      <c r="H18">
        <v>568</v>
      </c>
      <c r="I18">
        <v>25</v>
      </c>
      <c r="N18">
        <f>N15*0.45</f>
        <v>1129.6548750000002</v>
      </c>
      <c r="O18">
        <f>N18-N17</f>
        <v>251.03441666666686</v>
      </c>
      <c r="Q18">
        <v>400</v>
      </c>
      <c r="R18" t="s">
        <v>42</v>
      </c>
    </row>
    <row r="19" spans="3:19">
      <c r="E19" s="46">
        <f>PMT(E16,E17,E15,0)</f>
        <v>-611.54719293542882</v>
      </c>
      <c r="G19">
        <v>160</v>
      </c>
      <c r="I19">
        <f>SUM(I15:I18)</f>
        <v>1676.8805262687622</v>
      </c>
      <c r="J19">
        <f>I19/4*10</f>
        <v>4192.2013156719058</v>
      </c>
      <c r="Q19">
        <v>35</v>
      </c>
      <c r="R19" t="s">
        <v>43</v>
      </c>
      <c r="S19">
        <v>100</v>
      </c>
    </row>
    <row r="20" spans="3:19">
      <c r="G20" s="46">
        <f>SUM(G17:G19)</f>
        <v>818.8805262687622</v>
      </c>
      <c r="L20">
        <v>820</v>
      </c>
      <c r="Q20">
        <v>110</v>
      </c>
      <c r="R20" t="s">
        <v>44</v>
      </c>
      <c r="S20">
        <v>400</v>
      </c>
    </row>
    <row r="21" spans="3:19">
      <c r="L21">
        <f>15000/12</f>
        <v>1250</v>
      </c>
      <c r="Q21">
        <v>14</v>
      </c>
      <c r="R21" t="s">
        <v>45</v>
      </c>
      <c r="S21">
        <v>300</v>
      </c>
    </row>
    <row r="22" spans="3:19">
      <c r="J22">
        <f>3000</f>
        <v>3000</v>
      </c>
      <c r="L22">
        <f>175*52/12</f>
        <v>758.33333333333337</v>
      </c>
      <c r="Q22">
        <v>27</v>
      </c>
      <c r="R22" t="s">
        <v>43</v>
      </c>
    </row>
    <row r="23" spans="3:19">
      <c r="G23">
        <v>333</v>
      </c>
      <c r="J23">
        <f>J22*0.35</f>
        <v>1050</v>
      </c>
      <c r="L23">
        <f>5*13*52/12</f>
        <v>281.66666666666669</v>
      </c>
      <c r="Q23">
        <v>200</v>
      </c>
      <c r="R23" t="s">
        <v>46</v>
      </c>
    </row>
    <row r="24" spans="3:19">
      <c r="C24">
        <v>50</v>
      </c>
      <c r="D24">
        <v>15</v>
      </c>
      <c r="G24">
        <v>25</v>
      </c>
      <c r="J24">
        <f>J22*0.45</f>
        <v>1350</v>
      </c>
      <c r="L24">
        <f>SUM(L20:L23)</f>
        <v>3110</v>
      </c>
      <c r="Q24">
        <v>333</v>
      </c>
      <c r="R24" t="s">
        <v>47</v>
      </c>
    </row>
    <row r="25" spans="3:19">
      <c r="C25">
        <v>50</v>
      </c>
      <c r="D25">
        <v>15</v>
      </c>
      <c r="G25" s="46">
        <f>G20+G23+G24</f>
        <v>1176.8805262687622</v>
      </c>
      <c r="Q25">
        <v>371</v>
      </c>
      <c r="R25" t="s">
        <v>48</v>
      </c>
    </row>
    <row r="26" spans="3:19">
      <c r="C26">
        <v>50</v>
      </c>
      <c r="D26">
        <v>15</v>
      </c>
      <c r="Q26">
        <v>40</v>
      </c>
      <c r="R26" t="s">
        <v>49</v>
      </c>
    </row>
    <row r="27" spans="3:19">
      <c r="C27">
        <v>50</v>
      </c>
      <c r="D27">
        <v>15</v>
      </c>
      <c r="Q27">
        <v>60</v>
      </c>
      <c r="R27" t="s">
        <v>49</v>
      </c>
    </row>
    <row r="28" spans="3:19">
      <c r="C28">
        <v>35</v>
      </c>
      <c r="D28">
        <v>15</v>
      </c>
      <c r="Q28">
        <f>SUM(Q16:Q27)</f>
        <v>1740</v>
      </c>
    </row>
    <row r="29" spans="3:19">
      <c r="C29">
        <v>30</v>
      </c>
      <c r="D29">
        <v>15</v>
      </c>
      <c r="Q29">
        <v>1000</v>
      </c>
    </row>
    <row r="30" spans="3:19">
      <c r="C30">
        <v>50</v>
      </c>
      <c r="D30">
        <v>15</v>
      </c>
      <c r="Q30">
        <v>0</v>
      </c>
    </row>
    <row r="31" spans="3:19">
      <c r="C31">
        <v>25</v>
      </c>
      <c r="D31">
        <v>15</v>
      </c>
      <c r="F31">
        <v>15</v>
      </c>
      <c r="Q31">
        <f>SUM(Q28:Q30)</f>
        <v>2740</v>
      </c>
    </row>
    <row r="32" spans="3:19">
      <c r="C32">
        <v>30</v>
      </c>
      <c r="D32">
        <v>15</v>
      </c>
      <c r="F32">
        <v>15</v>
      </c>
    </row>
    <row r="33" spans="3:8">
      <c r="C33">
        <v>50</v>
      </c>
      <c r="F33">
        <v>25</v>
      </c>
    </row>
    <row r="34" spans="3:8">
      <c r="C34">
        <v>50</v>
      </c>
      <c r="F34">
        <v>50</v>
      </c>
    </row>
    <row r="35" spans="3:8">
      <c r="C35">
        <v>20</v>
      </c>
      <c r="F35">
        <v>20</v>
      </c>
    </row>
    <row r="36" spans="3:8">
      <c r="C36">
        <v>25</v>
      </c>
      <c r="F36">
        <v>25</v>
      </c>
    </row>
    <row r="37" spans="3:8">
      <c r="C37">
        <v>35</v>
      </c>
      <c r="F37">
        <v>35</v>
      </c>
    </row>
    <row r="38" spans="3:8">
      <c r="C38">
        <v>25</v>
      </c>
      <c r="F38">
        <v>25</v>
      </c>
    </row>
    <row r="39" spans="3:8">
      <c r="C39">
        <f>SUM(C24:C38)</f>
        <v>575</v>
      </c>
      <c r="D39">
        <f>SUM(D24:D38)</f>
        <v>135</v>
      </c>
      <c r="E39">
        <f>C39+D39</f>
        <v>710</v>
      </c>
      <c r="F39">
        <f>SUM(F31:F38)</f>
        <v>210</v>
      </c>
      <c r="H39">
        <f>500/710</f>
        <v>0.70422535211267601</v>
      </c>
    </row>
  </sheetData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Sharon L Owens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 Owens</dc:creator>
  <cp:lastModifiedBy>Sharon Owens</cp:lastModifiedBy>
  <cp:lastPrinted>2019-06-05T18:05:51Z</cp:lastPrinted>
  <dcterms:created xsi:type="dcterms:W3CDTF">2009-04-02T15:17:17Z</dcterms:created>
  <dcterms:modified xsi:type="dcterms:W3CDTF">2019-06-05T18:05:54Z</dcterms:modified>
</cp:coreProperties>
</file>